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ccrail.sharepoint.com/sites/InternationalCompetenceCentreRailGmbH-CCRail/Freigegebene Dokumente/CC Rail/02. Produktentwicklung/15. business-case-ROI/"/>
    </mc:Choice>
  </mc:AlternateContent>
  <xr:revisionPtr revIDLastSave="0" documentId="8_{2085D0DA-D57B-3247-8753-8CF52E57DF3F}" xr6:coauthVersionLast="47" xr6:coauthVersionMax="47" xr10:uidLastSave="{00000000-0000-0000-0000-000000000000}"/>
  <bookViews>
    <workbookView xWindow="26760" yWindow="600" windowWidth="57360" windowHeight="25880" tabRatio="500" xr2:uid="{00000000-000D-0000-FFFF-FFFF00000000}"/>
  </bookViews>
  <sheets>
    <sheet name="Business Case" sheetId="1" r:id="rId1"/>
    <sheet name="i18n" sheetId="2" state="hidden" r:id="rId2"/>
  </sheets>
  <definedNames>
    <definedName name="Gruppe" localSheetId="0">#REF!</definedName>
    <definedName name="Gruppe">#REF!</definedName>
    <definedName name="Grupppe" localSheetId="0">#REF!</definedName>
    <definedName name="Grupppe">#REF!</definedName>
    <definedName name="i18n_table">i18n!$A$2:$D$36</definedName>
    <definedName name="lang_col">'Business Case'!$T$1</definedName>
    <definedName name="lang_list">i18n!$F$1:$F$3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33" i="1" l="1"/>
  <c r="R36" i="1" s="1"/>
  <c r="O33" i="1"/>
  <c r="O36" i="1" s="1"/>
  <c r="M21" i="1"/>
  <c r="I21" i="1"/>
  <c r="M19" i="1"/>
  <c r="I19" i="1"/>
  <c r="G15" i="1"/>
  <c r="G23" i="1" s="1"/>
  <c r="L13" i="1"/>
  <c r="K13" i="1"/>
  <c r="K15" i="1" s="1"/>
  <c r="K23" i="1" s="1"/>
  <c r="H13" i="1"/>
  <c r="G13" i="1"/>
  <c r="E13" i="1"/>
  <c r="D13" i="1"/>
  <c r="D15" i="1" s="1"/>
  <c r="L9" i="1"/>
  <c r="K9" i="1"/>
  <c r="H9" i="1"/>
  <c r="G9" i="1"/>
  <c r="E9" i="1"/>
  <c r="D9" i="1"/>
  <c r="T1" i="1"/>
  <c r="L39" i="1" s="1"/>
  <c r="K1" i="1"/>
  <c r="B5" i="1" l="1"/>
  <c r="A1" i="1"/>
  <c r="B9" i="1"/>
  <c r="G1" i="1"/>
  <c r="B21" i="1"/>
  <c r="B23" i="1"/>
  <c r="L29" i="1"/>
  <c r="G2" i="1"/>
  <c r="I16" i="1"/>
  <c r="D3" i="1"/>
  <c r="M16" i="1"/>
  <c r="D2" i="1"/>
  <c r="H3" i="1"/>
  <c r="B11" i="1"/>
  <c r="B18" i="1"/>
  <c r="K3" i="1"/>
  <c r="B19" i="1"/>
  <c r="M35" i="1"/>
  <c r="K25" i="1"/>
  <c r="G25" i="1"/>
  <c r="D23" i="1"/>
  <c r="B3" i="1"/>
  <c r="B7" i="1"/>
  <c r="B16" i="1"/>
  <c r="M31" i="1"/>
  <c r="L33" i="1"/>
  <c r="E3" i="1"/>
  <c r="D1" i="1"/>
  <c r="G3" i="1"/>
  <c r="B17" i="1"/>
  <c r="B25" i="1"/>
  <c r="M36" i="1"/>
  <c r="L3" i="1"/>
  <c r="B15" i="1"/>
  <c r="B4" i="1"/>
  <c r="L38" i="1"/>
  <c r="K2" i="1"/>
  <c r="B6" i="1"/>
  <c r="B13" i="1"/>
  <c r="M30" i="1"/>
</calcChain>
</file>

<file path=xl/sharedStrings.xml><?xml version="1.0" encoding="utf-8"?>
<sst xmlns="http://schemas.openxmlformats.org/spreadsheetml/2006/main" count="152" uniqueCount="140">
  <si>
    <t>Sprache / Language / Langue:</t>
  </si>
  <si>
    <t>Deutsch</t>
  </si>
  <si>
    <t>→</t>
  </si>
  <si>
    <t>key</t>
  </si>
  <si>
    <t>DE</t>
  </si>
  <si>
    <t>EN</t>
  </si>
  <si>
    <t>FR</t>
  </si>
  <si>
    <t>title</t>
  </si>
  <si>
    <t>Kalkulation der Gesamtkosten für die Vorbereitung auf eine IRIS Certification®</t>
  </si>
  <si>
    <t>Total cost calculation for preparing an IRIS Certification®</t>
  </si>
  <si>
    <t>Calcul du coût total pour la préparation à l'IRIS Certification®</t>
  </si>
  <si>
    <t>English</t>
  </si>
  <si>
    <t>bc1</t>
  </si>
  <si>
    <t>Business Case 1</t>
  </si>
  <si>
    <t>Français</t>
  </si>
  <si>
    <t>bc2</t>
  </si>
  <si>
    <t>Business Case 2</t>
  </si>
  <si>
    <t>bc3</t>
  </si>
  <si>
    <t>Business Case 3</t>
  </si>
  <si>
    <t>bc1_desc</t>
  </si>
  <si>
    <t>ohne Unterstützung durch CC-Rail</t>
  </si>
  <si>
    <t>without support from CC-Rail</t>
  </si>
  <si>
    <t>sans soutien de CC-Rail</t>
  </si>
  <si>
    <t>bc2_desc</t>
  </si>
  <si>
    <t>mit geringer Unterstützung durch CC-Rail
(einschl. Schulung, Schwachstellenanalyse, Voraudit, Vorbereitung auf das Readiness Review sowie Stufe-1-Audit, jedoch ohne Modul 3: Unterstützung während der Schließung der Lücken)</t>
  </si>
  <si>
    <t>with limited support from CC-Rail
(incl. training, gap analysis, pre-audit, preparation for the Readiness Review and Stage 1 audit, but without Module 3: support during the closure of gaps)</t>
  </si>
  <si>
    <t>avec soutien limité de CC-Rail
(incl. formation, analyse des écarts, pré-audit, préparation à la Readiness Review et à l'audit Étape 1, mais sans le Module 3: soutien lors de la clôture des écarts)</t>
  </si>
  <si>
    <t>bc3_desc</t>
  </si>
  <si>
    <t>mit höchster Unterstützung durch CC-Rail
(Gesamtpaket; alle 6 Coaching Module eingeschlossen)</t>
  </si>
  <si>
    <t>with highest support from CC-Rail
(full package; all 6 coaching modules included)</t>
  </si>
  <si>
    <t>avec soutien maximal de CC-Rail
(forfait complet; les 6 modules de coaching inclus)</t>
  </si>
  <si>
    <t>sec_internal</t>
  </si>
  <si>
    <t>1. INTERNE KOSTEN</t>
  </si>
  <si>
    <t>1. INTERNAL COSTS</t>
  </si>
  <si>
    <t>1. COÛTS INTERNES</t>
  </si>
  <si>
    <t>sec_external</t>
  </si>
  <si>
    <t>2. EXTERNE KOSTEN</t>
  </si>
  <si>
    <t>2. EXTERNAL COSTS</t>
  </si>
  <si>
    <t>2. COÛTS EXTERNES</t>
  </si>
  <si>
    <t>pm</t>
  </si>
  <si>
    <t>Projekt Manager</t>
  </si>
  <si>
    <t>Project Manager</t>
  </si>
  <si>
    <t>Chef de projet</t>
  </si>
  <si>
    <t>core</t>
  </si>
  <si>
    <t>IRIS Kernteam</t>
  </si>
  <si>
    <t>IRIS Core Team</t>
  </si>
  <si>
    <t>Équipe centrale IRIS</t>
  </si>
  <si>
    <t>p_hours</t>
  </si>
  <si>
    <t>jährliche Stundenzahl / Mitarbeiter:</t>
  </si>
  <si>
    <t>annual working hours / employee:</t>
  </si>
  <si>
    <t>heures annuelles / employé :</t>
  </si>
  <si>
    <t>p_duration</t>
  </si>
  <si>
    <t>Dauer (Anzahl an Monaten):</t>
  </si>
  <si>
    <t>Duration (number of months):</t>
  </si>
  <si>
    <t>Durée (nombre de mois) :</t>
  </si>
  <si>
    <t>p_count</t>
  </si>
  <si>
    <t>Anzahl der Mitarbeiter im Kernteam:</t>
  </si>
  <si>
    <t>Number of employees in the core team:</t>
  </si>
  <si>
    <t>Nombre d'employés dans l'équipe centrale :</t>
  </si>
  <si>
    <t>p_load</t>
  </si>
  <si>
    <t>deren Zeitanteil / Arbeitsbelastung:</t>
  </si>
  <si>
    <t>their time share / workload:</t>
  </si>
  <si>
    <t>leur charge de travail :</t>
  </si>
  <si>
    <t>p_sumhours</t>
  </si>
  <si>
    <t>Summe der internen Stunden:</t>
  </si>
  <si>
    <t>Sum of internal hours:</t>
  </si>
  <si>
    <t>Total des heures internes :</t>
  </si>
  <si>
    <t>p_rate</t>
  </si>
  <si>
    <t>Stundensatz (EUR):</t>
  </si>
  <si>
    <t>Hourly rate (EUR):</t>
  </si>
  <si>
    <t>Taux horaire (EUR) :</t>
  </si>
  <si>
    <t>p_internal</t>
  </si>
  <si>
    <t>interne Kosten (EUR):</t>
  </si>
  <si>
    <t>internal costs (EUR):</t>
  </si>
  <si>
    <t>coûts internes (EUR) :</t>
  </si>
  <si>
    <t>p_intsum</t>
  </si>
  <si>
    <t>interne Gesamtkosten (EUR):</t>
  </si>
  <si>
    <t>total internal costs (EUR):</t>
  </si>
  <si>
    <t>coûts internes totaux (EUR) :</t>
  </si>
  <si>
    <t>ccr_costs</t>
  </si>
  <si>
    <t>CC-Rail Kosten</t>
  </si>
  <si>
    <t>CC-Rail costs</t>
  </si>
  <si>
    <t>coûts CC-Rail</t>
  </si>
  <si>
    <t>p_days</t>
  </si>
  <si>
    <t>Anzahl Beratungstage:</t>
  </si>
  <si>
    <t>Number of consulting days:</t>
  </si>
  <si>
    <t>Nombre de jours de conseil :</t>
  </si>
  <si>
    <t>p_daily</t>
  </si>
  <si>
    <t>Tagessatz (EUR):</t>
  </si>
  <si>
    <t>Daily rate (EUR):</t>
  </si>
  <si>
    <t>Tarif journalier (EUR) :</t>
  </si>
  <si>
    <t>p_travel</t>
  </si>
  <si>
    <t>Kosten für Reisen &amp; Hotel:</t>
  </si>
  <si>
    <t>Cost for travel &amp; hotel:</t>
  </si>
  <si>
    <t>Frais de voyage et d'hôtel :</t>
  </si>
  <si>
    <t>p_consult</t>
  </si>
  <si>
    <t>Beratungskosten (EUR):</t>
  </si>
  <si>
    <t>Consulting costs (EUR):</t>
  </si>
  <si>
    <t>Coûts de conseil (EUR) :</t>
  </si>
  <si>
    <t>p_total</t>
  </si>
  <si>
    <t>GESAMTKOSTEN (EUR):</t>
  </si>
  <si>
    <t>TOTAL COSTS (EUR):</t>
  </si>
  <si>
    <t>COÛT TOTAL (EUR) :</t>
  </si>
  <si>
    <t>p_savings</t>
  </si>
  <si>
    <t>EINSPARUNGEN (EUR):</t>
  </si>
  <si>
    <t>SAVINGS (EUR):</t>
  </si>
  <si>
    <t>ÉCONOMIES (EUR) :</t>
  </si>
  <si>
    <t>roi_title</t>
  </si>
  <si>
    <t>ROI BERECHNUNG</t>
  </si>
  <si>
    <t>ROI CALCULATION</t>
  </si>
  <si>
    <t>CALCUL DU ROI</t>
  </si>
  <si>
    <t>roi_revenue</t>
  </si>
  <si>
    <t>Jahresumsatz (EUR)</t>
  </si>
  <si>
    <t>Annual revenue (EUR)</t>
  </si>
  <si>
    <t>Chiffre d'affaires annuel (EUR)</t>
  </si>
  <si>
    <t>roi_copq</t>
  </si>
  <si>
    <t>Fehlerkosten / Cost of Poor Quality (CoPQ)</t>
  </si>
  <si>
    <t>Cost of Poor Quality (CoPQ)</t>
  </si>
  <si>
    <t>Coût de la non-qualité (CoPQ)</t>
  </si>
  <si>
    <t>roi_losses</t>
  </si>
  <si>
    <t>jährliche Margenverluste in EUR</t>
  </si>
  <si>
    <t>annual margin losses in EUR</t>
  </si>
  <si>
    <t>pertes de marge annuelles en EUR</t>
  </si>
  <si>
    <t>roi_red</t>
  </si>
  <si>
    <t>Jährliche Senkungsrate der CoPQ</t>
  </si>
  <si>
    <t>Annual CoPQ reduction rate</t>
  </si>
  <si>
    <t>Taux annuel de réduction du CoPQ</t>
  </si>
  <si>
    <t>roi_save</t>
  </si>
  <si>
    <t>Einsparung / Jahr (EUR)</t>
  </si>
  <si>
    <t>Savings / year (EUR)</t>
  </si>
  <si>
    <t>Économies / an (EUR)</t>
  </si>
  <si>
    <t>roi_invest</t>
  </si>
  <si>
    <t>Ihre Investition betrug (in EUR):</t>
  </si>
  <si>
    <t>Your investment was (in EUR):</t>
  </si>
  <si>
    <t>Votre investissement était (en EUR) :</t>
  </si>
  <si>
    <t>roi_result</t>
  </si>
  <si>
    <t>ROI &lt; 1 JAHR NACH DER IRIS CERTIFICATION®!</t>
  </si>
  <si>
    <t>ROI &lt; 1 YEAR AFTER IRIS CERTIFICATION®!</t>
  </si>
  <si>
    <t>ROI &lt; 1 AN APRÈS L'IRIS CERTIFICATION® !</t>
  </si>
  <si>
    <t>lang_label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</si>
</sst>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 &quot;#,##0"/>
    <numFmt numFmtId="165" formatCode="&quot;€ &quot;#,##0;&quot;€ (&quot;#,##0\);\-"/>
    <numFmt numFmtId="166" formatCode="0.0%"/>
  </numFmts>
  <fonts count="20">
    <font>
      <sz val="10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11"/>
      <color theme="1"/>
      <name val="Calibri"/>
      <family val="2"/>
      <charset val="1"/>
    </font>
    <font>
      <b/>
      <sz val="13"/>
      <color rgb="FFFFFFFF"/>
      <name val="Montserrat"/>
      <charset val="1"/>
    </font>
    <font>
      <sz val="10"/>
      <color rgb="FF0F2D50"/>
      <name val="Montserrat"/>
      <charset val="1"/>
    </font>
    <font>
      <b/>
      <sz val="12"/>
      <color rgb="FFFFFFFF"/>
      <name val="Montserrat"/>
      <charset val="1"/>
    </font>
    <font>
      <b/>
      <sz val="10"/>
      <color rgb="FF0F2D50"/>
      <name val="Montserrat"/>
      <charset val="1"/>
    </font>
    <font>
      <b/>
      <sz val="11"/>
      <color rgb="FFFFFFFF"/>
      <name val="Montserrat"/>
      <charset val="1"/>
    </font>
    <font>
      <sz val="1"/>
      <color rgb="FFF5F2F0"/>
      <name val="Cambria"/>
      <family val="1"/>
    </font>
    <font>
      <i/>
      <sz val="9"/>
      <color rgb="FF0F2D50"/>
      <name val="Montserrat"/>
      <charset val="1"/>
    </font>
    <font>
      <b/>
      <sz val="9"/>
      <color rgb="FFFFFFFF"/>
      <name val="Montserrat"/>
      <charset val="1"/>
    </font>
    <font>
      <b/>
      <sz val="9"/>
      <color rgb="FF696E87"/>
      <name val="Montserrat"/>
      <charset val="1"/>
    </font>
    <font>
      <sz val="10"/>
      <color rgb="FF0000FF"/>
      <name val="Montserrat"/>
      <charset val="1"/>
    </font>
    <font>
      <b/>
      <sz val="10"/>
      <color rgb="FFFFFFFF"/>
      <name val="Montserrat"/>
      <charset val="1"/>
    </font>
    <font>
      <b/>
      <sz val="10"/>
      <color rgb="FF0000FF"/>
      <name val="Montserrat"/>
      <charset val="1"/>
    </font>
    <font>
      <b/>
      <sz val="11"/>
      <color rgb="FFDC0A19"/>
      <name val="Montserrat"/>
      <charset val="1"/>
    </font>
    <font>
      <b/>
      <sz val="11"/>
      <color rgb="FF0F2D50"/>
      <name val="Montserrat"/>
      <charset val="1"/>
    </font>
    <font>
      <b/>
      <sz val="11"/>
      <name val="Cambria"/>
      <family val="1"/>
    </font>
    <font>
      <sz val="10"/>
      <color theme="1"/>
      <name val="Calibri"/>
      <family val="2"/>
      <charset val="1"/>
    </font>
    <font>
      <b/>
      <sz val="10"/>
      <color rgb="FF0F2D50"/>
      <name val="Montserrat"/>
    </font>
  </fonts>
  <fills count="8">
    <fill>
      <patternFill patternType="none"/>
    </fill>
    <fill>
      <patternFill patternType="gray125"/>
    </fill>
    <fill>
      <patternFill patternType="solid">
        <fgColor rgb="FF0F2D50"/>
        <bgColor rgb="FF333333"/>
      </patternFill>
    </fill>
    <fill>
      <patternFill patternType="solid">
        <fgColor rgb="FFF5F2F0"/>
        <bgColor rgb="FFEAF0FA"/>
      </patternFill>
    </fill>
    <fill>
      <patternFill patternType="solid">
        <fgColor rgb="FFDC0A19"/>
        <bgColor rgb="FF993300"/>
      </patternFill>
    </fill>
    <fill>
      <patternFill patternType="solid">
        <fgColor rgb="FFEAF0FA"/>
        <bgColor rgb="FFF5F2F0"/>
      </patternFill>
    </fill>
    <fill>
      <patternFill patternType="solid">
        <fgColor rgb="FF696E87"/>
        <bgColor rgb="FF808080"/>
      </patternFill>
    </fill>
    <fill>
      <patternFill patternType="solid">
        <fgColor rgb="FFC3D6EB"/>
        <bgColor rgb="FFC3C3D2"/>
      </patternFill>
    </fill>
  </fills>
  <borders count="4">
    <border>
      <left/>
      <right/>
      <top/>
      <bottom/>
      <diagonal/>
    </border>
    <border>
      <left style="thin">
        <color rgb="FFDC0A19"/>
      </left>
      <right style="thin">
        <color rgb="FFDC0A19"/>
      </right>
      <top style="thin">
        <color rgb="FFDC0A19"/>
      </top>
      <bottom style="thin">
        <color rgb="FFDC0A19"/>
      </bottom>
      <diagonal/>
    </border>
    <border>
      <left/>
      <right/>
      <top/>
      <bottom style="medium">
        <color rgb="FF0F2D50"/>
      </bottom>
      <diagonal/>
    </border>
    <border>
      <left style="thin">
        <color rgb="FFC3C3D2"/>
      </left>
      <right style="thin">
        <color rgb="FFC3C3D2"/>
      </right>
      <top style="thin">
        <color rgb="FFC3C3D2"/>
      </top>
      <bottom style="thin">
        <color rgb="FFC3C3D2"/>
      </bottom>
      <diagonal/>
    </border>
  </borders>
  <cellStyleXfs count="8">
    <xf numFmtId="0" fontId="0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7" fillId="2" borderId="0" xfId="0" applyFont="1" applyFill="1" applyAlignment="1">
      <alignment horizontal="left" vertical="center" indent="1"/>
    </xf>
    <xf numFmtId="0" fontId="6" fillId="7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164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 indent="1"/>
    </xf>
    <xf numFmtId="0" fontId="0" fillId="0" borderId="0" xfId="0" applyAlignment="1">
      <alignment horizontal="center"/>
    </xf>
    <xf numFmtId="0" fontId="4" fillId="3" borderId="0" xfId="0" applyFont="1" applyFill="1"/>
    <xf numFmtId="0" fontId="8" fillId="0" borderId="0" xfId="0" applyFont="1"/>
    <xf numFmtId="0" fontId="4" fillId="3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 indent="1"/>
    </xf>
    <xf numFmtId="0" fontId="10" fillId="6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 indent="1"/>
    </xf>
    <xf numFmtId="0" fontId="4" fillId="3" borderId="0" xfId="0" applyFont="1" applyFill="1" applyAlignment="1">
      <alignment horizontal="right"/>
    </xf>
    <xf numFmtId="3" fontId="12" fillId="5" borderId="3" xfId="0" applyNumberFormat="1" applyFont="1" applyFill="1" applyBorder="1" applyAlignment="1">
      <alignment horizontal="center" vertical="center"/>
    </xf>
    <xf numFmtId="9" fontId="12" fillId="5" borderId="3" xfId="0" applyNumberFormat="1" applyFont="1" applyFill="1" applyBorder="1" applyAlignment="1">
      <alignment horizontal="center" vertical="center"/>
    </xf>
    <xf numFmtId="0" fontId="6" fillId="7" borderId="0" xfId="0" applyFont="1" applyFill="1" applyAlignment="1">
      <alignment horizontal="left" vertical="center" indent="1"/>
    </xf>
    <xf numFmtId="3" fontId="6" fillId="7" borderId="3" xfId="0" applyNumberFormat="1" applyFont="1" applyFill="1" applyBorder="1" applyAlignment="1">
      <alignment horizontal="center" vertical="center"/>
    </xf>
    <xf numFmtId="164" fontId="12" fillId="5" borderId="3" xfId="0" applyNumberFormat="1" applyFont="1" applyFill="1" applyBorder="1" applyAlignment="1">
      <alignment horizontal="center" vertical="center"/>
    </xf>
    <xf numFmtId="164" fontId="6" fillId="7" borderId="3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" fontId="4" fillId="3" borderId="0" xfId="0" applyNumberFormat="1" applyFont="1" applyFill="1"/>
    <xf numFmtId="3" fontId="4" fillId="3" borderId="0" xfId="0" applyNumberFormat="1" applyFont="1" applyFill="1" applyAlignment="1">
      <alignment horizontal="left"/>
    </xf>
    <xf numFmtId="0" fontId="4" fillId="5" borderId="0" xfId="0" applyFont="1" applyFill="1" applyAlignment="1">
      <alignment horizontal="left" vertical="center" indent="1"/>
    </xf>
    <xf numFmtId="164" fontId="4" fillId="5" borderId="3" xfId="0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1"/>
    </xf>
    <xf numFmtId="0" fontId="1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6" fillId="5" borderId="0" xfId="0" applyFont="1" applyFill="1" applyAlignment="1">
      <alignment horizontal="left" vertical="center" indent="1"/>
    </xf>
    <xf numFmtId="0" fontId="4" fillId="5" borderId="0" xfId="0" applyFont="1" applyFill="1"/>
    <xf numFmtId="164" fontId="14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166" fontId="14" fillId="3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9" fontId="4" fillId="3" borderId="0" xfId="0" applyNumberFormat="1" applyFont="1" applyFill="1" applyAlignment="1">
      <alignment horizontal="left"/>
    </xf>
    <xf numFmtId="164" fontId="6" fillId="7" borderId="0" xfId="0" applyNumberFormat="1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4" fillId="7" borderId="0" xfId="0" applyFont="1" applyFill="1"/>
    <xf numFmtId="164" fontId="16" fillId="7" borderId="0" xfId="0" applyNumberFormat="1" applyFont="1" applyFill="1" applyAlignment="1">
      <alignment horizontal="center" vertical="center"/>
    </xf>
    <xf numFmtId="0" fontId="17" fillId="0" borderId="0" xfId="0" applyFont="1"/>
    <xf numFmtId="0" fontId="0" fillId="0" borderId="0" xfId="0" applyAlignment="1">
      <alignment wrapText="1"/>
    </xf>
    <xf numFmtId="0" fontId="19" fillId="3" borderId="0" xfId="0" applyFont="1" applyFill="1" applyAlignment="1">
      <alignment wrapText="1"/>
    </xf>
  </cellXfs>
  <cellStyles count="8">
    <cellStyle name="Hyperlink 2" xfId="1" xr:uid="{00000000-0005-0000-0000-000006000000}"/>
    <cellStyle name="Standard" xfId="0" builtinId="0"/>
    <cellStyle name="Standard 2" xfId="2" xr:uid="{00000000-0005-0000-0000-000007000000}"/>
    <cellStyle name="Standard 3" xfId="3" xr:uid="{00000000-0005-0000-0000-000008000000}"/>
    <cellStyle name="Standard 4" xfId="4" xr:uid="{00000000-0005-0000-0000-000009000000}"/>
    <cellStyle name="Standard 4 2" xfId="5" xr:uid="{00000000-0005-0000-0000-00000A000000}"/>
    <cellStyle name="Standard 4 2 2" xfId="6" xr:uid="{00000000-0005-0000-0000-00000B000000}"/>
    <cellStyle name="Standard 4 3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DC0A19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C3D2"/>
      <rgbColor rgb="FF808080"/>
      <rgbColor rgb="FF9999FF"/>
      <rgbColor rgb="FF993366"/>
      <rgbColor rgb="FFF5F2F0"/>
      <rgbColor rgb="FFEAF0FA"/>
      <rgbColor rgb="FF660066"/>
      <rgbColor rgb="FFFF8080"/>
      <rgbColor rgb="FF0066CC"/>
      <rgbColor rgb="FFC3D6E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96E87"/>
      <rgbColor rgb="FF969696"/>
      <rgbColor rgb="FF0F2D5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showGridLines="0" tabSelected="1" zoomScale="171" zoomScaleNormal="171" workbookViewId="0">
      <selection activeCell="V15" sqref="V15"/>
    </sheetView>
  </sheetViews>
  <sheetFormatPr baseColWidth="10" defaultColWidth="10.796875" defaultRowHeight="14"/>
  <cols>
    <col min="1" max="1" width="5" style="13" customWidth="1"/>
    <col min="2" max="2" width="41.19921875" bestFit="1" customWidth="1"/>
    <col min="3" max="3" width="1.19921875" customWidth="1"/>
    <col min="4" max="4" width="18" bestFit="1" customWidth="1"/>
    <col min="5" max="5" width="15.3984375" bestFit="1" customWidth="1"/>
    <col min="6" max="6" width="1.19921875" customWidth="1"/>
    <col min="7" max="7" width="18" bestFit="1" customWidth="1"/>
    <col min="8" max="8" width="15.3984375" bestFit="1" customWidth="1"/>
    <col min="9" max="9" width="16" bestFit="1" customWidth="1"/>
    <col min="10" max="10" width="1.19921875" customWidth="1"/>
    <col min="11" max="11" width="18" bestFit="1" customWidth="1"/>
    <col min="12" max="12" width="15.3984375" bestFit="1" customWidth="1"/>
    <col min="13" max="13" width="46" bestFit="1" customWidth="1"/>
    <col min="14" max="14" width="3" customWidth="1"/>
    <col min="15" max="15" width="15" customWidth="1"/>
    <col min="16" max="16" width="2.796875" bestFit="1" customWidth="1"/>
    <col min="17" max="17" width="1.3984375" customWidth="1"/>
    <col min="18" max="18" width="15" customWidth="1"/>
    <col min="19" max="19" width="2" customWidth="1"/>
    <col min="20" max="20" width="1.19921875" bestFit="1" customWidth="1"/>
  </cols>
  <sheetData>
    <row r="1" spans="1:20" ht="42" customHeight="1">
      <c r="A1" s="12" t="str">
        <f>VLOOKUP("title",i18n_table,lang_col,FALSE())</f>
        <v>Kalkulation der Gesamtkosten für die Vorbereitung auf eine IRIS Certification®</v>
      </c>
      <c r="B1" s="12"/>
      <c r="C1" s="14"/>
      <c r="D1" s="11" t="str">
        <f>VLOOKUP("bc1",i18n_table,lang_col,FALSE())</f>
        <v>Business Case 1</v>
      </c>
      <c r="E1" s="11"/>
      <c r="F1" s="14"/>
      <c r="G1" s="11" t="str">
        <f>VLOOKUP("bc2",i18n_table,lang_col,FALSE())</f>
        <v>Business Case 2</v>
      </c>
      <c r="H1" s="11"/>
      <c r="I1" s="11"/>
      <c r="J1" s="14"/>
      <c r="K1" s="11" t="str">
        <f>VLOOKUP("bc3",i18n_table,lang_col,FALSE())</f>
        <v>Business Case 3</v>
      </c>
      <c r="L1" s="11"/>
      <c r="M1" s="11"/>
      <c r="N1" s="14"/>
      <c r="O1" s="50" t="s">
        <v>0</v>
      </c>
      <c r="P1" s="10"/>
      <c r="Q1" s="10"/>
      <c r="R1" s="9" t="s">
        <v>1</v>
      </c>
      <c r="S1" s="9"/>
      <c r="T1" s="15">
        <f>IF(R1="Deutsch",2,IF(R1="English",3,IF(R1="Français",4,2)))</f>
        <v>2</v>
      </c>
    </row>
    <row r="2" spans="1:20" ht="85.5" customHeight="1">
      <c r="A2" s="12"/>
      <c r="B2" s="12"/>
      <c r="C2" s="14"/>
      <c r="D2" s="8" t="str">
        <f>VLOOKUP("bc1_desc",i18n_table,lang_col,FALSE())</f>
        <v>ohne Unterstützung durch CC-Rail</v>
      </c>
      <c r="E2" s="8"/>
      <c r="F2" s="14"/>
      <c r="G2" s="8" t="str">
        <f>VLOOKUP("bc2_desc",i18n_table,lang_col,FALSE())</f>
        <v>mit geringer Unterstützung durch CC-Rail
(einschl. Schulung, Schwachstellenanalyse, Voraudit, Vorbereitung auf das Readiness Review sowie Stufe-1-Audit, jedoch ohne Modul 3: Unterstützung während der Schließung der Lücken)</v>
      </c>
      <c r="H2" s="8"/>
      <c r="I2" s="8"/>
      <c r="J2" s="14"/>
      <c r="K2" s="8" t="str">
        <f>VLOOKUP("bc3_desc",i18n_table,lang_col,FALSE())</f>
        <v>mit höchster Unterstützung durch CC-Rail
(Gesamtpaket; alle 6 Coaching Module eingeschlossen)</v>
      </c>
      <c r="L2" s="8"/>
      <c r="M2" s="8"/>
      <c r="N2" s="14"/>
      <c r="O2" s="14"/>
      <c r="P2" s="14"/>
      <c r="Q2" s="14"/>
      <c r="R2" s="14"/>
      <c r="S2" s="14"/>
    </row>
    <row r="3" spans="1:20" ht="25.5" customHeight="1">
      <c r="A3" s="16"/>
      <c r="B3" s="17" t="str">
        <f>VLOOKUP("sec_internal",i18n_table,lang_col,FALSE())</f>
        <v>1. INTERNE KOSTEN</v>
      </c>
      <c r="C3" s="14"/>
      <c r="D3" s="18" t="str">
        <f>VLOOKUP("pm",i18n_table,lang_col,FALSE())</f>
        <v>Projekt Manager</v>
      </c>
      <c r="E3" s="18" t="str">
        <f>VLOOKUP("core",i18n_table,lang_col,FALSE())</f>
        <v>IRIS Kernteam</v>
      </c>
      <c r="F3" s="14"/>
      <c r="G3" s="18" t="str">
        <f>VLOOKUP("pm",i18n_table,lang_col,FALSE())</f>
        <v>Projekt Manager</v>
      </c>
      <c r="H3" s="18" t="str">
        <f>VLOOKUP("core",i18n_table,lang_col,FALSE())</f>
        <v>IRIS Kernteam</v>
      </c>
      <c r="I3" s="14"/>
      <c r="J3" s="14"/>
      <c r="K3" s="18" t="str">
        <f>VLOOKUP("pm",i18n_table,lang_col,FALSE())</f>
        <v>Projekt Manager</v>
      </c>
      <c r="L3" s="18" t="str">
        <f>VLOOKUP("core",i18n_table,lang_col,FALSE())</f>
        <v>IRIS Kernteam</v>
      </c>
      <c r="M3" s="14"/>
      <c r="N3" s="14"/>
      <c r="O3" s="14"/>
      <c r="P3" s="14"/>
      <c r="Q3" s="14"/>
      <c r="R3" s="14"/>
      <c r="S3" s="14"/>
    </row>
    <row r="4" spans="1:20" ht="21.75" customHeight="1">
      <c r="A4" s="19">
        <v>1</v>
      </c>
      <c r="B4" s="20" t="str">
        <f>VLOOKUP("p_hours",i18n_table,lang_col,FALSE())</f>
        <v>jährliche Stundenzahl / Mitarbeiter:</v>
      </c>
      <c r="C4" s="21"/>
      <c r="D4" s="22">
        <v>1600</v>
      </c>
      <c r="E4" s="22">
        <v>1600</v>
      </c>
      <c r="F4" s="21"/>
      <c r="G4" s="22">
        <v>1600</v>
      </c>
      <c r="H4" s="22">
        <v>1600</v>
      </c>
      <c r="I4" s="14"/>
      <c r="J4" s="21"/>
      <c r="K4" s="22">
        <v>1600</v>
      </c>
      <c r="L4" s="22">
        <v>1600</v>
      </c>
      <c r="M4" s="14"/>
      <c r="N4" s="14"/>
      <c r="O4" s="14"/>
      <c r="P4" s="14"/>
      <c r="Q4" s="14"/>
      <c r="R4" s="14"/>
      <c r="S4" s="14"/>
    </row>
    <row r="5" spans="1:20" ht="21.75" customHeight="1">
      <c r="A5" s="19">
        <v>2</v>
      </c>
      <c r="B5" s="20" t="str">
        <f>VLOOKUP("p_duration",i18n_table,lang_col,FALSE())</f>
        <v>Dauer (Anzahl an Monaten):</v>
      </c>
      <c r="C5" s="21"/>
      <c r="D5" s="22">
        <v>18</v>
      </c>
      <c r="E5" s="22">
        <v>18</v>
      </c>
      <c r="F5" s="21"/>
      <c r="G5" s="22">
        <v>18</v>
      </c>
      <c r="H5" s="22">
        <v>18</v>
      </c>
      <c r="I5" s="14"/>
      <c r="J5" s="21"/>
      <c r="K5" s="22">
        <v>9</v>
      </c>
      <c r="L5" s="22">
        <v>9</v>
      </c>
      <c r="M5" s="14"/>
      <c r="N5" s="14"/>
      <c r="O5" s="14"/>
      <c r="P5" s="14"/>
      <c r="Q5" s="14"/>
      <c r="R5" s="14"/>
      <c r="S5" s="14"/>
    </row>
    <row r="6" spans="1:20" ht="21.75" customHeight="1">
      <c r="A6" s="19">
        <v>3</v>
      </c>
      <c r="B6" s="20" t="str">
        <f>VLOOKUP("p_count",i18n_table,lang_col,FALSE())</f>
        <v>Anzahl der Mitarbeiter im Kernteam:</v>
      </c>
      <c r="C6" s="21"/>
      <c r="D6" s="22">
        <v>1</v>
      </c>
      <c r="E6" s="22">
        <v>8</v>
      </c>
      <c r="F6" s="21"/>
      <c r="G6" s="22">
        <v>1</v>
      </c>
      <c r="H6" s="22">
        <v>8</v>
      </c>
      <c r="I6" s="14"/>
      <c r="J6" s="21"/>
      <c r="K6" s="22">
        <v>1</v>
      </c>
      <c r="L6" s="22">
        <v>8</v>
      </c>
      <c r="M6" s="14"/>
      <c r="N6" s="14"/>
      <c r="O6" s="14"/>
      <c r="P6" s="14"/>
      <c r="Q6" s="14"/>
      <c r="R6" s="14"/>
      <c r="S6" s="14"/>
    </row>
    <row r="7" spans="1:20" ht="21.75" customHeight="1">
      <c r="A7" s="19">
        <v>4</v>
      </c>
      <c r="B7" s="20" t="str">
        <f>VLOOKUP("p_load",i18n_table,lang_col,FALSE())</f>
        <v>deren Zeitanteil / Arbeitsbelastung:</v>
      </c>
      <c r="C7" s="14"/>
      <c r="D7" s="23">
        <v>0.8</v>
      </c>
      <c r="E7" s="23">
        <v>0.15</v>
      </c>
      <c r="F7" s="14"/>
      <c r="G7" s="23">
        <v>0.8</v>
      </c>
      <c r="H7" s="23">
        <v>0.1</v>
      </c>
      <c r="I7" s="14"/>
      <c r="J7" s="14"/>
      <c r="K7" s="23">
        <v>0.8</v>
      </c>
      <c r="L7" s="23">
        <v>0.05</v>
      </c>
      <c r="M7" s="14"/>
      <c r="N7" s="14"/>
      <c r="O7" s="14"/>
      <c r="P7" s="14"/>
      <c r="Q7" s="14"/>
      <c r="R7" s="14"/>
      <c r="S7" s="14"/>
    </row>
    <row r="8" spans="1:20" ht="6" customHeight="1">
      <c r="A8" s="21"/>
      <c r="B8" s="21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20" ht="21.75" customHeight="1">
      <c r="A9" s="18">
        <v>5</v>
      </c>
      <c r="B9" s="24" t="str">
        <f>VLOOKUP("p_sumhours",i18n_table,lang_col,FALSE())</f>
        <v>Summe der internen Stunden:</v>
      </c>
      <c r="C9" s="14"/>
      <c r="D9" s="25">
        <f>D4/12*D5*D6*D7</f>
        <v>1920</v>
      </c>
      <c r="E9" s="25">
        <f>E4/12*E5*E6*E7</f>
        <v>2880</v>
      </c>
      <c r="F9" s="14"/>
      <c r="G9" s="25">
        <f>G4/12*G5*G6*G7</f>
        <v>1920</v>
      </c>
      <c r="H9" s="25">
        <f>H4/12*H5*H6*H7</f>
        <v>1920</v>
      </c>
      <c r="I9" s="14"/>
      <c r="J9" s="14"/>
      <c r="K9" s="25">
        <f>K4/12*K5*K6*K7</f>
        <v>960</v>
      </c>
      <c r="L9" s="25">
        <f>L4/12*L5*L6*L7</f>
        <v>480</v>
      </c>
      <c r="M9" s="14"/>
      <c r="N9" s="14"/>
      <c r="O9" s="14"/>
      <c r="P9" s="14"/>
      <c r="Q9" s="14"/>
      <c r="R9" s="14"/>
      <c r="S9" s="14"/>
    </row>
    <row r="10" spans="1:20" ht="6" customHeight="1">
      <c r="A10" s="21"/>
      <c r="B10" s="21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20" ht="21.75" customHeight="1">
      <c r="A11" s="19">
        <v>6</v>
      </c>
      <c r="B11" s="20" t="str">
        <f>VLOOKUP("p_rate",i18n_table,lang_col,FALSE())</f>
        <v>Stundensatz (EUR):</v>
      </c>
      <c r="C11" s="14"/>
      <c r="D11" s="26">
        <v>65</v>
      </c>
      <c r="E11" s="26">
        <v>65</v>
      </c>
      <c r="F11" s="14"/>
      <c r="G11" s="26">
        <v>65</v>
      </c>
      <c r="H11" s="26">
        <v>65</v>
      </c>
      <c r="I11" s="14"/>
      <c r="J11" s="14"/>
      <c r="K11" s="26">
        <v>65</v>
      </c>
      <c r="L11" s="26">
        <v>65</v>
      </c>
      <c r="M11" s="14"/>
      <c r="N11" s="14"/>
      <c r="O11" s="14"/>
      <c r="P11" s="14"/>
      <c r="Q11" s="14"/>
      <c r="R11" s="14"/>
      <c r="S11" s="14"/>
    </row>
    <row r="12" spans="1:20" ht="6" customHeight="1">
      <c r="A12" s="21"/>
      <c r="B12" s="21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20" ht="21.75" customHeight="1">
      <c r="A13" s="18">
        <v>7</v>
      </c>
      <c r="B13" s="24" t="str">
        <f>VLOOKUP("p_internal",i18n_table,lang_col,FALSE())</f>
        <v>interne Kosten (EUR):</v>
      </c>
      <c r="C13" s="14"/>
      <c r="D13" s="27">
        <f>D4/12*D5*D6*D7*D11</f>
        <v>124800</v>
      </c>
      <c r="E13" s="27">
        <f>E4/12*E5*E6*E7*E11</f>
        <v>187200</v>
      </c>
      <c r="F13" s="14"/>
      <c r="G13" s="27">
        <f>G4/12*G5*G6*G7*G11</f>
        <v>124800</v>
      </c>
      <c r="H13" s="27">
        <f>H4/12*H5*H6*H7*H11</f>
        <v>124800</v>
      </c>
      <c r="I13" s="14"/>
      <c r="J13" s="14"/>
      <c r="K13" s="27">
        <f>K4/12*K5*K6*K7*K11</f>
        <v>62400</v>
      </c>
      <c r="L13" s="27">
        <f>L4/12*L5*L6*L7*L11</f>
        <v>31200</v>
      </c>
      <c r="M13" s="14"/>
      <c r="N13" s="14"/>
      <c r="O13" s="14"/>
      <c r="P13" s="14"/>
      <c r="Q13" s="14"/>
      <c r="R13" s="14"/>
      <c r="S13" s="14"/>
    </row>
    <row r="14" spans="1:20" ht="6" customHeight="1">
      <c r="A14" s="21"/>
      <c r="B14" s="21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20" ht="25.5" customHeight="1">
      <c r="A15" s="28">
        <v>8</v>
      </c>
      <c r="B15" s="17" t="str">
        <f>VLOOKUP("p_intsum",i18n_table,lang_col,FALSE())</f>
        <v>interne Gesamtkosten (EUR):</v>
      </c>
      <c r="C15" s="21"/>
      <c r="D15" s="7">
        <f>D13+E13</f>
        <v>312000</v>
      </c>
      <c r="E15" s="7"/>
      <c r="F15" s="21"/>
      <c r="G15" s="7">
        <f>G13+H13</f>
        <v>249600</v>
      </c>
      <c r="H15" s="7"/>
      <c r="I15" s="29"/>
      <c r="J15" s="21"/>
      <c r="K15" s="7">
        <f>K13+L13</f>
        <v>93600</v>
      </c>
      <c r="L15" s="7"/>
      <c r="M15" s="29"/>
      <c r="N15" s="14"/>
      <c r="O15" s="30"/>
      <c r="P15" s="30"/>
      <c r="Q15" s="14"/>
      <c r="R15" s="14"/>
      <c r="S15" s="14"/>
    </row>
    <row r="16" spans="1:20" ht="21.75" customHeight="1">
      <c r="A16" s="16"/>
      <c r="B16" s="17" t="str">
        <f>VLOOKUP("sec_external",i18n_table,lang_col,FALSE())</f>
        <v>2. EXTERNE KOSTEN</v>
      </c>
      <c r="C16" s="14"/>
      <c r="D16" s="14"/>
      <c r="E16" s="14"/>
      <c r="F16" s="14"/>
      <c r="G16" s="14"/>
      <c r="H16" s="14"/>
      <c r="I16" s="18" t="str">
        <f>VLOOKUP("ccr_costs",i18n_table,lang_col,FALSE())</f>
        <v>CC-Rail Kosten</v>
      </c>
      <c r="J16" s="14"/>
      <c r="K16" s="14"/>
      <c r="L16" s="14"/>
      <c r="M16" s="18" t="str">
        <f>VLOOKUP("ccr_costs",i18n_table,lang_col,FALSE())</f>
        <v>CC-Rail Kosten</v>
      </c>
      <c r="N16" s="14"/>
      <c r="O16" s="14"/>
      <c r="P16" s="14"/>
      <c r="Q16" s="14"/>
      <c r="R16" s="14"/>
      <c r="S16" s="14"/>
    </row>
    <row r="17" spans="1:19" ht="21.75" customHeight="1">
      <c r="A17" s="19">
        <v>9</v>
      </c>
      <c r="B17" s="20" t="str">
        <f>VLOOKUP("p_days",i18n_table,lang_col,FALSE())</f>
        <v>Anzahl Beratungstage:</v>
      </c>
      <c r="C17" s="21"/>
      <c r="D17" s="14"/>
      <c r="E17" s="14"/>
      <c r="F17" s="21"/>
      <c r="G17" s="14"/>
      <c r="H17" s="14"/>
      <c r="I17" s="22">
        <v>25</v>
      </c>
      <c r="J17" s="21"/>
      <c r="K17" s="14"/>
      <c r="L17" s="14"/>
      <c r="M17" s="22">
        <v>60</v>
      </c>
      <c r="N17" s="14"/>
      <c r="O17" s="14"/>
      <c r="P17" s="14"/>
      <c r="Q17" s="14"/>
      <c r="R17" s="14"/>
      <c r="S17" s="14"/>
    </row>
    <row r="18" spans="1:19" ht="21.75" customHeight="1">
      <c r="A18" s="19">
        <v>10</v>
      </c>
      <c r="B18" s="20" t="str">
        <f>VLOOKUP("p_daily",i18n_table,lang_col,FALSE())</f>
        <v>Tagessatz (EUR):</v>
      </c>
      <c r="C18" s="21"/>
      <c r="D18" s="14"/>
      <c r="E18" s="14"/>
      <c r="F18" s="21"/>
      <c r="G18" s="14"/>
      <c r="H18" s="14"/>
      <c r="I18" s="26">
        <v>1900</v>
      </c>
      <c r="J18" s="21"/>
      <c r="K18" s="14"/>
      <c r="L18" s="14"/>
      <c r="M18" s="26">
        <v>1900</v>
      </c>
      <c r="N18" s="14"/>
      <c r="O18" s="14"/>
      <c r="P18" s="14"/>
      <c r="Q18" s="14"/>
      <c r="R18" s="14"/>
      <c r="S18" s="14"/>
    </row>
    <row r="19" spans="1:19" ht="21.75" customHeight="1">
      <c r="A19" s="18">
        <v>11</v>
      </c>
      <c r="B19" s="31" t="str">
        <f>VLOOKUP("p_travel",i18n_table,lang_col,FALSE())</f>
        <v>Kosten für Reisen &amp; Hotel:</v>
      </c>
      <c r="C19" s="14"/>
      <c r="D19" s="14"/>
      <c r="E19" s="14"/>
      <c r="F19" s="14"/>
      <c r="G19" s="14"/>
      <c r="H19" s="14"/>
      <c r="I19" s="32">
        <f>I17/5*500</f>
        <v>2500</v>
      </c>
      <c r="J19" s="14"/>
      <c r="K19" s="14"/>
      <c r="L19" s="14"/>
      <c r="M19" s="32">
        <f>M17/5*500</f>
        <v>6000</v>
      </c>
      <c r="N19" s="14"/>
      <c r="O19" s="14"/>
      <c r="P19" s="14"/>
      <c r="Q19" s="14"/>
      <c r="R19" s="14"/>
      <c r="S19" s="14"/>
    </row>
    <row r="20" spans="1:19" ht="6" customHeight="1">
      <c r="A20" s="21"/>
      <c r="B20" s="21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21"/>
      <c r="N20" s="14"/>
      <c r="O20" s="14"/>
      <c r="P20" s="14"/>
      <c r="Q20" s="14"/>
      <c r="R20" s="14"/>
      <c r="S20" s="14"/>
    </row>
    <row r="21" spans="1:19" ht="21.75" customHeight="1">
      <c r="A21" s="18">
        <v>12</v>
      </c>
      <c r="B21" s="24" t="str">
        <f>VLOOKUP("p_consult",i18n_table,lang_col,FALSE())</f>
        <v>Beratungskosten (EUR):</v>
      </c>
      <c r="C21" s="14"/>
      <c r="D21" s="14"/>
      <c r="E21" s="14"/>
      <c r="F21" s="14"/>
      <c r="G21" s="14"/>
      <c r="H21" s="14"/>
      <c r="I21" s="27">
        <f>(I17*I18)+I19</f>
        <v>50000</v>
      </c>
      <c r="J21" s="14"/>
      <c r="K21" s="14"/>
      <c r="L21" s="14"/>
      <c r="M21" s="27">
        <f>(M17*M18)+M19</f>
        <v>120000</v>
      </c>
      <c r="N21" s="14"/>
      <c r="O21" s="30"/>
      <c r="P21" s="14"/>
      <c r="Q21" s="14"/>
      <c r="R21" s="14"/>
      <c r="S21" s="14"/>
    </row>
    <row r="22" spans="1:19" ht="6" customHeight="1">
      <c r="A22" s="21"/>
      <c r="B22" s="21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21"/>
      <c r="N22" s="14"/>
      <c r="O22" s="14"/>
      <c r="P22" s="14"/>
      <c r="Q22" s="14"/>
      <c r="R22" s="14"/>
      <c r="S22" s="14"/>
    </row>
    <row r="23" spans="1:19" ht="27.75" customHeight="1">
      <c r="A23" s="33">
        <v>13</v>
      </c>
      <c r="B23" s="34" t="str">
        <f>VLOOKUP("p_total",i18n_table,lang_col,FALSE())</f>
        <v>GESAMTKOSTEN (EUR):</v>
      </c>
      <c r="C23" s="14"/>
      <c r="D23" s="6">
        <f>D15</f>
        <v>312000</v>
      </c>
      <c r="E23" s="6"/>
      <c r="F23" s="14"/>
      <c r="G23" s="6">
        <f>G15+I21</f>
        <v>299600</v>
      </c>
      <c r="H23" s="6"/>
      <c r="I23" s="6"/>
      <c r="J23" s="14"/>
      <c r="K23" s="6">
        <f>K15+M21</f>
        <v>213600</v>
      </c>
      <c r="L23" s="6"/>
      <c r="M23" s="6"/>
      <c r="N23" s="14"/>
      <c r="O23" s="30"/>
      <c r="P23" s="14"/>
      <c r="Q23" s="14"/>
      <c r="R23" s="14"/>
      <c r="S23" s="14"/>
    </row>
    <row r="24" spans="1:19" ht="6" customHeight="1">
      <c r="A24" s="21"/>
      <c r="B24" s="21"/>
      <c r="C24" s="14"/>
      <c r="D24" s="14"/>
      <c r="E24" s="14"/>
      <c r="F24" s="14"/>
      <c r="G24" s="14"/>
      <c r="H24" s="14"/>
      <c r="I24" s="21"/>
      <c r="J24" s="14"/>
      <c r="K24" s="14"/>
      <c r="L24" s="14"/>
      <c r="M24" s="21"/>
      <c r="N24" s="14"/>
      <c r="O24" s="14"/>
      <c r="P24" s="14"/>
      <c r="Q24" s="14"/>
      <c r="R24" s="14"/>
      <c r="S24" s="14"/>
    </row>
    <row r="25" spans="1:19" ht="21.75" customHeight="1">
      <c r="A25" s="35">
        <v>14</v>
      </c>
      <c r="B25" s="17" t="str">
        <f>VLOOKUP("p_savings",i18n_table,lang_col,FALSE())</f>
        <v>EINSPARUNGEN (EUR):</v>
      </c>
      <c r="C25" s="14"/>
      <c r="D25" s="5"/>
      <c r="E25" s="5"/>
      <c r="F25" s="14"/>
      <c r="G25" s="4">
        <f>D15-G23</f>
        <v>12400</v>
      </c>
      <c r="H25" s="4"/>
      <c r="I25" s="4"/>
      <c r="J25" s="14"/>
      <c r="K25" s="4">
        <f>D15-K23</f>
        <v>98400</v>
      </c>
      <c r="L25" s="4"/>
      <c r="M25" s="4"/>
      <c r="N25" s="14"/>
      <c r="O25" s="14"/>
      <c r="P25" s="14"/>
      <c r="Q25" s="14"/>
      <c r="R25" s="14"/>
      <c r="S25" s="14"/>
    </row>
    <row r="26" spans="1:19" ht="6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6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 ht="6" customHeight="1">
      <c r="A28" s="14"/>
      <c r="B28" s="14"/>
      <c r="C28" s="14"/>
      <c r="D28" s="14"/>
      <c r="E28" s="14"/>
      <c r="F28" s="14"/>
      <c r="G28" s="14"/>
      <c r="H28" s="14"/>
      <c r="I28" s="30"/>
      <c r="J28" s="14"/>
      <c r="K28" s="14"/>
      <c r="L28" s="14"/>
      <c r="M28" s="30"/>
      <c r="N28" s="14"/>
      <c r="O28" s="14"/>
      <c r="P28" s="14"/>
      <c r="Q28" s="14"/>
      <c r="R28" s="14"/>
      <c r="S28" s="14"/>
    </row>
    <row r="29" spans="1:19" ht="25.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36"/>
      <c r="L29" s="3" t="str">
        <f>VLOOKUP("roi_title",i18n_table,lang_col,FALSE())</f>
        <v>ROI BERECHNUNG</v>
      </c>
      <c r="M29" s="3"/>
      <c r="N29" s="3"/>
      <c r="O29" s="3"/>
      <c r="P29" s="3"/>
      <c r="Q29" s="3"/>
      <c r="R29" s="3"/>
      <c r="S29" s="14"/>
    </row>
    <row r="30" spans="1:19" ht="19.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37" t="str">
        <f>VLOOKUP("roi_revenue",i18n_table,lang_col,FALSE())</f>
        <v>Jahresumsatz (EUR)</v>
      </c>
      <c r="N30" s="38"/>
      <c r="O30" s="39">
        <v>75000000</v>
      </c>
      <c r="P30" s="40"/>
      <c r="Q30" s="38"/>
      <c r="R30" s="39">
        <v>75000000</v>
      </c>
      <c r="S30" s="30"/>
    </row>
    <row r="31" spans="1:19" ht="13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20" t="str">
        <f>VLOOKUP("roi_copq",i18n_table,lang_col,FALSE())</f>
        <v>Fehlerkosten / Cost of Poor Quality (CoPQ)</v>
      </c>
      <c r="N31" s="14"/>
      <c r="O31" s="41">
        <v>0.05</v>
      </c>
      <c r="P31" s="42" t="s">
        <v>2</v>
      </c>
      <c r="Q31" s="14"/>
      <c r="R31" s="41">
        <v>0.1</v>
      </c>
      <c r="S31" s="43"/>
    </row>
    <row r="32" spans="1:19" ht="6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21"/>
      <c r="L32" s="21"/>
      <c r="M32" s="21"/>
      <c r="N32" s="14"/>
      <c r="O32" s="14"/>
      <c r="P32" s="14"/>
      <c r="Q32" s="14"/>
      <c r="R32" s="14"/>
      <c r="S32" s="43"/>
    </row>
    <row r="33" spans="1:19" ht="21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2" t="str">
        <f>VLOOKUP("roi_losses",i18n_table,lang_col,FALSE())</f>
        <v>jährliche Margenverluste in EUR</v>
      </c>
      <c r="M33" s="2"/>
      <c r="N33" s="2"/>
      <c r="O33" s="44">
        <f>O30*O31</f>
        <v>3750000</v>
      </c>
      <c r="P33" s="45" t="s">
        <v>2</v>
      </c>
      <c r="Q33" s="46"/>
      <c r="R33" s="44">
        <f>R30*R31</f>
        <v>7500000</v>
      </c>
      <c r="S33" s="43"/>
    </row>
    <row r="34" spans="1:19" ht="6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21"/>
      <c r="L34" s="21"/>
      <c r="M34" s="21"/>
      <c r="N34" s="14"/>
      <c r="O34" s="14"/>
      <c r="P34" s="14"/>
      <c r="Q34" s="14"/>
      <c r="R34" s="14"/>
      <c r="S34" s="43"/>
    </row>
    <row r="35" spans="1:19" ht="13.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20" t="str">
        <f>VLOOKUP("roi_red",i18n_table,lang_col,FALSE())</f>
        <v>Jährliche Senkungsrate der CoPQ</v>
      </c>
      <c r="N35" s="14"/>
      <c r="O35" s="41">
        <v>0.1</v>
      </c>
      <c r="P35" s="14"/>
      <c r="Q35" s="14"/>
      <c r="R35" s="41">
        <v>0.1</v>
      </c>
      <c r="S35" s="43"/>
    </row>
    <row r="36" spans="1:19" ht="21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46"/>
      <c r="M36" s="24" t="str">
        <f>VLOOKUP("roi_save",i18n_table,lang_col,FALSE())</f>
        <v>Einsparung / Jahr (EUR)</v>
      </c>
      <c r="N36" s="46"/>
      <c r="O36" s="47">
        <f>O33*O35</f>
        <v>375000</v>
      </c>
      <c r="P36" s="45" t="s">
        <v>2</v>
      </c>
      <c r="Q36" s="46"/>
      <c r="R36" s="47">
        <f>R33*R35</f>
        <v>750000</v>
      </c>
      <c r="S36" s="43"/>
    </row>
    <row r="37" spans="1:19" ht="6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21"/>
      <c r="L37" s="21"/>
      <c r="M37" s="21"/>
      <c r="N37" s="14"/>
      <c r="O37" s="14"/>
      <c r="P37" s="14"/>
      <c r="Q37" s="14"/>
      <c r="R37" s="14"/>
      <c r="S37" s="43"/>
    </row>
    <row r="38" spans="1:19" ht="24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" t="str">
        <f>VLOOKUP("roi_invest",i18n_table,lang_col,FALSE())</f>
        <v>Ihre Investition betrug (in EUR):</v>
      </c>
      <c r="M38" s="1"/>
      <c r="N38" s="1"/>
      <c r="O38" s="7">
        <v>213600</v>
      </c>
      <c r="P38" s="7"/>
      <c r="Q38" s="7"/>
      <c r="R38" s="7"/>
      <c r="S38" s="14"/>
    </row>
    <row r="39" spans="1:19" ht="3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1" t="str">
        <f>VLOOKUP("roi_result",i18n_table,lang_col,FALSE())</f>
        <v>ROI &lt; 1 JAHR NACH DER IRIS CERTIFICATION®!</v>
      </c>
      <c r="M39" s="11"/>
      <c r="N39" s="11"/>
      <c r="O39" s="11"/>
      <c r="P39" s="11"/>
      <c r="Q39" s="11"/>
      <c r="R39" s="11"/>
      <c r="S39" s="14"/>
    </row>
    <row r="40" spans="1:19" ht="13.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</sheetData>
  <mergeCells count="23">
    <mergeCell ref="L29:R29"/>
    <mergeCell ref="L33:N33"/>
    <mergeCell ref="L38:N38"/>
    <mergeCell ref="O38:R38"/>
    <mergeCell ref="L39:R39"/>
    <mergeCell ref="D23:E23"/>
    <mergeCell ref="G23:I23"/>
    <mergeCell ref="K23:M23"/>
    <mergeCell ref="D25:E25"/>
    <mergeCell ref="G25:I25"/>
    <mergeCell ref="K25:M25"/>
    <mergeCell ref="R1:S1"/>
    <mergeCell ref="D2:E2"/>
    <mergeCell ref="G2:I2"/>
    <mergeCell ref="K2:M2"/>
    <mergeCell ref="D15:E15"/>
    <mergeCell ref="G15:H15"/>
    <mergeCell ref="K15:L15"/>
    <mergeCell ref="A1:B2"/>
    <mergeCell ref="D1:E1"/>
    <mergeCell ref="G1:I1"/>
    <mergeCell ref="K1:M1"/>
    <mergeCell ref="P1:Q1"/>
  </mergeCells>
  <dataValidations count="1">
    <dataValidation type="list" errorTitle="Ungültige Sprache" error="Bitte Deutsch, English oder Français wählen." promptTitle="Sprache / Language / Langue" prompt="Sprache wählen / Select language / Choisir la langue" sqref="R1" xr:uid="{00000000-0002-0000-0000-000000000000}">
      <formula1>lang_list</formula1>
      <formula2>0</formula2>
    </dataValidation>
  </dataValidations>
  <pageMargins left="0.3" right="0.3" top="0.4" bottom="0.4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zoomScaleNormal="100" workbookViewId="0"/>
  </sheetViews>
  <sheetFormatPr baseColWidth="10" defaultColWidth="8.796875" defaultRowHeight="14"/>
  <sheetData>
    <row r="1" spans="1:6" ht="15">
      <c r="A1" s="48" t="s">
        <v>3</v>
      </c>
      <c r="B1" s="48" t="s">
        <v>4</v>
      </c>
      <c r="C1" s="48" t="s">
        <v>5</v>
      </c>
      <c r="D1" s="48" t="s">
        <v>6</v>
      </c>
      <c r="F1" t="s">
        <v>1</v>
      </c>
    </row>
    <row r="2" spans="1:6">
      <c r="A2" t="s">
        <v>7</v>
      </c>
      <c r="B2" t="s">
        <v>8</v>
      </c>
      <c r="C2" t="s">
        <v>9</v>
      </c>
      <c r="D2" t="s">
        <v>10</v>
      </c>
      <c r="F2" t="s">
        <v>11</v>
      </c>
    </row>
    <row r="3" spans="1:6">
      <c r="A3" t="s">
        <v>12</v>
      </c>
      <c r="B3" t="s">
        <v>13</v>
      </c>
      <c r="C3" t="s">
        <v>13</v>
      </c>
      <c r="D3" t="s">
        <v>13</v>
      </c>
      <c r="F3" t="s">
        <v>14</v>
      </c>
    </row>
    <row r="4" spans="1:6">
      <c r="A4" t="s">
        <v>15</v>
      </c>
      <c r="B4" t="s">
        <v>16</v>
      </c>
      <c r="C4" t="s">
        <v>16</v>
      </c>
      <c r="D4" t="s">
        <v>16</v>
      </c>
    </row>
    <row r="5" spans="1:6">
      <c r="A5" t="s">
        <v>17</v>
      </c>
      <c r="B5" t="s">
        <v>18</v>
      </c>
      <c r="C5" t="s">
        <v>18</v>
      </c>
      <c r="D5" t="s">
        <v>18</v>
      </c>
    </row>
    <row r="6" spans="1:6">
      <c r="A6" t="s">
        <v>19</v>
      </c>
      <c r="B6" t="s">
        <v>20</v>
      </c>
      <c r="C6" t="s">
        <v>21</v>
      </c>
      <c r="D6" t="s">
        <v>22</v>
      </c>
    </row>
    <row r="7" spans="1:6" ht="409.6">
      <c r="A7" t="s">
        <v>23</v>
      </c>
      <c r="B7" s="49" t="s">
        <v>24</v>
      </c>
      <c r="C7" s="49" t="s">
        <v>25</v>
      </c>
      <c r="D7" s="49" t="s">
        <v>26</v>
      </c>
    </row>
    <row r="8" spans="1:6" ht="195">
      <c r="A8" t="s">
        <v>27</v>
      </c>
      <c r="B8" s="49" t="s">
        <v>28</v>
      </c>
      <c r="C8" s="49" t="s">
        <v>29</v>
      </c>
      <c r="D8" s="49" t="s">
        <v>30</v>
      </c>
    </row>
    <row r="9" spans="1:6">
      <c r="A9" t="s">
        <v>31</v>
      </c>
      <c r="B9" t="s">
        <v>32</v>
      </c>
      <c r="C9" t="s">
        <v>33</v>
      </c>
      <c r="D9" t="s">
        <v>34</v>
      </c>
    </row>
    <row r="10" spans="1:6">
      <c r="A10" t="s">
        <v>35</v>
      </c>
      <c r="B10" t="s">
        <v>36</v>
      </c>
      <c r="C10" t="s">
        <v>37</v>
      </c>
      <c r="D10" t="s">
        <v>38</v>
      </c>
    </row>
    <row r="11" spans="1:6">
      <c r="A11" t="s">
        <v>39</v>
      </c>
      <c r="B11" t="s">
        <v>40</v>
      </c>
      <c r="C11" t="s">
        <v>41</v>
      </c>
      <c r="D11" t="s">
        <v>42</v>
      </c>
    </row>
    <row r="12" spans="1:6">
      <c r="A12" t="s">
        <v>43</v>
      </c>
      <c r="B12" t="s">
        <v>44</v>
      </c>
      <c r="C12" t="s">
        <v>45</v>
      </c>
      <c r="D12" t="s">
        <v>46</v>
      </c>
    </row>
    <row r="13" spans="1:6">
      <c r="A13" t="s">
        <v>47</v>
      </c>
      <c r="B13" t="s">
        <v>48</v>
      </c>
      <c r="C13" t="s">
        <v>49</v>
      </c>
      <c r="D13" t="s">
        <v>50</v>
      </c>
    </row>
    <row r="14" spans="1:6">
      <c r="A14" t="s">
        <v>51</v>
      </c>
      <c r="B14" t="s">
        <v>52</v>
      </c>
      <c r="C14" t="s">
        <v>53</v>
      </c>
      <c r="D14" t="s">
        <v>54</v>
      </c>
    </row>
    <row r="15" spans="1:6">
      <c r="A15" t="s">
        <v>55</v>
      </c>
      <c r="B15" t="s">
        <v>56</v>
      </c>
      <c r="C15" t="s">
        <v>57</v>
      </c>
      <c r="D15" t="s">
        <v>58</v>
      </c>
    </row>
    <row r="16" spans="1:6">
      <c r="A16" t="s">
        <v>59</v>
      </c>
      <c r="B16" t="s">
        <v>60</v>
      </c>
      <c r="C16" t="s">
        <v>61</v>
      </c>
      <c r="D16" t="s">
        <v>62</v>
      </c>
    </row>
    <row r="17" spans="1:4">
      <c r="A17" t="s">
        <v>63</v>
      </c>
      <c r="B17" t="s">
        <v>64</v>
      </c>
      <c r="C17" t="s">
        <v>65</v>
      </c>
      <c r="D17" t="s">
        <v>66</v>
      </c>
    </row>
    <row r="18" spans="1:4">
      <c r="A18" t="s">
        <v>67</v>
      </c>
      <c r="B18" t="s">
        <v>68</v>
      </c>
      <c r="C18" t="s">
        <v>69</v>
      </c>
      <c r="D18" t="s">
        <v>70</v>
      </c>
    </row>
    <row r="19" spans="1:4">
      <c r="A19" t="s">
        <v>71</v>
      </c>
      <c r="B19" t="s">
        <v>72</v>
      </c>
      <c r="C19" t="s">
        <v>73</v>
      </c>
      <c r="D19" t="s">
        <v>74</v>
      </c>
    </row>
    <row r="20" spans="1:4">
      <c r="A20" t="s">
        <v>75</v>
      </c>
      <c r="B20" t="s">
        <v>76</v>
      </c>
      <c r="C20" t="s">
        <v>77</v>
      </c>
      <c r="D20" t="s">
        <v>78</v>
      </c>
    </row>
    <row r="21" spans="1:4">
      <c r="A21" t="s">
        <v>79</v>
      </c>
      <c r="B21" t="s">
        <v>80</v>
      </c>
      <c r="C21" t="s">
        <v>81</v>
      </c>
      <c r="D21" t="s">
        <v>82</v>
      </c>
    </row>
    <row r="22" spans="1:4">
      <c r="A22" t="s">
        <v>83</v>
      </c>
      <c r="B22" t="s">
        <v>84</v>
      </c>
      <c r="C22" t="s">
        <v>85</v>
      </c>
      <c r="D22" t="s">
        <v>86</v>
      </c>
    </row>
    <row r="23" spans="1:4">
      <c r="A23" t="s">
        <v>87</v>
      </c>
      <c r="B23" t="s">
        <v>88</v>
      </c>
      <c r="C23" t="s">
        <v>89</v>
      </c>
      <c r="D23" t="s">
        <v>90</v>
      </c>
    </row>
    <row r="24" spans="1:4">
      <c r="A24" t="s">
        <v>91</v>
      </c>
      <c r="B24" t="s">
        <v>92</v>
      </c>
      <c r="C24" t="s">
        <v>93</v>
      </c>
      <c r="D24" t="s">
        <v>94</v>
      </c>
    </row>
    <row r="25" spans="1:4">
      <c r="A25" t="s">
        <v>95</v>
      </c>
      <c r="B25" t="s">
        <v>96</v>
      </c>
      <c r="C25" t="s">
        <v>97</v>
      </c>
      <c r="D25" t="s">
        <v>98</v>
      </c>
    </row>
    <row r="26" spans="1:4">
      <c r="A26" t="s">
        <v>99</v>
      </c>
      <c r="B26" t="s">
        <v>100</v>
      </c>
      <c r="C26" t="s">
        <v>101</v>
      </c>
      <c r="D26" t="s">
        <v>102</v>
      </c>
    </row>
    <row r="27" spans="1:4">
      <c r="A27" t="s">
        <v>103</v>
      </c>
      <c r="B27" t="s">
        <v>104</v>
      </c>
      <c r="C27" t="s">
        <v>105</v>
      </c>
      <c r="D27" t="s">
        <v>106</v>
      </c>
    </row>
    <row r="28" spans="1:4">
      <c r="A28" t="s">
        <v>107</v>
      </c>
      <c r="B28" t="s">
        <v>108</v>
      </c>
      <c r="C28" t="s">
        <v>109</v>
      </c>
      <c r="D28" t="s">
        <v>110</v>
      </c>
    </row>
    <row r="29" spans="1:4">
      <c r="A29" t="s">
        <v>111</v>
      </c>
      <c r="B29" t="s">
        <v>112</v>
      </c>
      <c r="C29" t="s">
        <v>113</v>
      </c>
      <c r="D29" t="s">
        <v>114</v>
      </c>
    </row>
    <row r="30" spans="1:4">
      <c r="A30" t="s">
        <v>115</v>
      </c>
      <c r="B30" t="s">
        <v>116</v>
      </c>
      <c r="C30" t="s">
        <v>117</v>
      </c>
      <c r="D30" t="s">
        <v>118</v>
      </c>
    </row>
    <row r="31" spans="1:4">
      <c r="A31" t="s">
        <v>119</v>
      </c>
      <c r="B31" t="s">
        <v>120</v>
      </c>
      <c r="C31" t="s">
        <v>121</v>
      </c>
      <c r="D31" t="s">
        <v>122</v>
      </c>
    </row>
    <row r="32" spans="1:4">
      <c r="A32" t="s">
        <v>123</v>
      </c>
      <c r="B32" t="s">
        <v>124</v>
      </c>
      <c r="C32" t="s">
        <v>125</v>
      </c>
      <c r="D32" t="s">
        <v>126</v>
      </c>
    </row>
    <row r="33" spans="1:4">
      <c r="A33" t="s">
        <v>127</v>
      </c>
      <c r="B33" t="s">
        <v>128</v>
      </c>
      <c r="C33" t="s">
        <v>129</v>
      </c>
      <c r="D33" t="s">
        <v>130</v>
      </c>
    </row>
    <row r="34" spans="1:4">
      <c r="A34" t="s">
        <v>131</v>
      </c>
      <c r="B34" t="s">
        <v>132</v>
      </c>
      <c r="C34" t="s">
        <v>133</v>
      </c>
      <c r="D34" t="s">
        <v>134</v>
      </c>
    </row>
    <row r="35" spans="1:4">
      <c r="A35" t="s">
        <v>135</v>
      </c>
      <c r="B35" t="s">
        <v>136</v>
      </c>
      <c r="C35" t="s">
        <v>137</v>
      </c>
      <c r="D35" t="s">
        <v>138</v>
      </c>
    </row>
    <row r="36" spans="1:4">
      <c r="A36" t="s">
        <v>139</v>
      </c>
      <c r="B36" t="s">
        <v>0</v>
      </c>
      <c r="C36" t="s">
        <v>0</v>
      </c>
      <c r="D36" t="s"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Business Case</vt:lpstr>
      <vt:lpstr>i18n</vt:lpstr>
      <vt:lpstr>i18n_table</vt:lpstr>
      <vt:lpstr>lang_col</vt:lpstr>
      <vt:lpstr>lang_list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Heinzmann (CC-Rail GmbH)</dc:creator>
  <dc:description/>
  <cp:lastModifiedBy>Fatih Haciismailogullari</cp:lastModifiedBy>
  <cp:revision>0</cp:revision>
  <cp:lastPrinted>2014-10-13T12:24:56Z</cp:lastPrinted>
  <dcterms:created xsi:type="dcterms:W3CDTF">2014-09-29T08:56:36Z</dcterms:created>
  <dcterms:modified xsi:type="dcterms:W3CDTF">2026-04-14T03:58:48Z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0x0101006D15FF32E461164CBE49A3DC43B68BCB</vt:lpwstr>
  </property>
  <property fmtid="{D5CDD505-2E9C-101B-9397-08002B2CF9AE}" pid="3" name="MediaServiceImageTags">
    <vt:lpwstr/>
  </property>
</Properties>
</file>